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9155" windowHeight="7455" activeTab="0"/>
  </bookViews>
  <sheets>
    <sheet name="138" sheetId="1" r:id="rId1"/>
    <sheet name="139" sheetId="2" r:id="rId2"/>
  </sheets>
  <definedNames/>
  <calcPr calcId="145621"/>
</workbook>
</file>

<file path=xl/sharedStrings.xml><?xml version="1.0" encoding="utf-8"?>
<sst xmlns="http://schemas.openxmlformats.org/spreadsheetml/2006/main" count="83" uniqueCount="53">
  <si>
    <t>cena</t>
  </si>
  <si>
    <t>výstupy</t>
  </si>
  <si>
    <t>rozsah</t>
  </si>
  <si>
    <t>Htest</t>
  </si>
  <si>
    <t>Micronics</t>
  </si>
  <si>
    <t>TE</t>
  </si>
  <si>
    <t>pásmo</t>
  </si>
  <si>
    <t>rozlošení</t>
  </si>
  <si>
    <t>vzork.rychl.</t>
  </si>
  <si>
    <t>paměť</t>
  </si>
  <si>
    <t>zátěž</t>
  </si>
  <si>
    <t>rozlišení</t>
  </si>
  <si>
    <t>TR-i</t>
  </si>
  <si>
    <t>vzorkování</t>
  </si>
  <si>
    <t>displej</t>
  </si>
  <si>
    <t>bus</t>
  </si>
  <si>
    <t>část 1. generator</t>
  </si>
  <si>
    <t>část 2. zdroj</t>
  </si>
  <si>
    <t>část 4. Osciloskop A</t>
  </si>
  <si>
    <t>část 1. osciloskop</t>
  </si>
  <si>
    <t>kanály</t>
  </si>
  <si>
    <t>šířka pásma</t>
  </si>
  <si>
    <t>obnova</t>
  </si>
  <si>
    <t>část 2. multimetr</t>
  </si>
  <si>
    <t>digit</t>
  </si>
  <si>
    <t>přesnost</t>
  </si>
  <si>
    <t>micronics</t>
  </si>
  <si>
    <t>CA 5287</t>
  </si>
  <si>
    <t>agil. U1250B</t>
  </si>
  <si>
    <t>agilent</t>
  </si>
  <si>
    <t>GDS 2072</t>
  </si>
  <si>
    <t>rigol</t>
  </si>
  <si>
    <t>leCroy WaveAce 1002</t>
  </si>
  <si>
    <t>TG5011</t>
  </si>
  <si>
    <t>agilent 33521A</t>
  </si>
  <si>
    <t>agilent 33521B</t>
  </si>
  <si>
    <t>PL 303 QMDP</t>
  </si>
  <si>
    <t>GW instek PSW3026</t>
  </si>
  <si>
    <t>rigol DP1308A</t>
  </si>
  <si>
    <t>agilent E3649A</t>
  </si>
  <si>
    <t>GW instek GDS 3154</t>
  </si>
  <si>
    <t>vítěz</t>
  </si>
  <si>
    <t>proud</t>
  </si>
  <si>
    <t>Vyhodnoceni Tech.Par</t>
  </si>
  <si>
    <t>Výsledná hodnota</t>
  </si>
  <si>
    <t>pořadí</t>
  </si>
  <si>
    <t>cena za kus s DPH</t>
  </si>
  <si>
    <t>suma bodů</t>
  </si>
  <si>
    <r>
      <t xml:space="preserve">Příloha č. 1 – </t>
    </r>
    <r>
      <rPr>
        <b/>
        <i/>
        <sz val="10"/>
        <color theme="1"/>
        <rFont val="Tahoma"/>
        <family val="2"/>
      </rPr>
      <t>Hodnocení nabídek – výpočet bodů technických parametrů</t>
    </r>
  </si>
  <si>
    <t>Příloha č. 1 - Hodnocení nabídek - výpočet bodů technických parametrů</t>
  </si>
  <si>
    <t>Tech.Par %</t>
  </si>
  <si>
    <t>% celkem</t>
  </si>
  <si>
    <t xml:space="preserve">suma bodů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</si>
</sst>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44" fontId="0" fillId="0" borderId="0" xfId="20" applyFont="1"/>
    <xf numFmtId="0" fontId="0" fillId="0" borderId="0" xfId="0" applyFill="1"/>
    <xf numFmtId="44" fontId="0" fillId="0" borderId="0" xfId="20" applyFont="1" applyFill="1"/>
    <xf numFmtId="9" fontId="0" fillId="0" borderId="0" xfId="21" applyFont="1" applyFill="1"/>
    <xf numFmtId="9" fontId="2" fillId="0" borderId="0" xfId="0" applyNumberFormat="1" applyFont="1" applyFill="1"/>
    <xf numFmtId="0" fontId="3" fillId="0" borderId="0" xfId="0" applyFont="1" applyFill="1"/>
    <xf numFmtId="9" fontId="3" fillId="0" borderId="0" xfId="21" applyFont="1" applyFill="1"/>
    <xf numFmtId="9" fontId="4" fillId="0" borderId="0" xfId="0" applyNumberFormat="1" applyFont="1" applyFill="1"/>
    <xf numFmtId="44" fontId="3" fillId="0" borderId="0" xfId="20" applyFont="1" applyFill="1"/>
    <xf numFmtId="0" fontId="4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2" fillId="3" borderId="0" xfId="0" applyFont="1" applyFill="1"/>
    <xf numFmtId="44" fontId="0" fillId="3" borderId="0" xfId="20" applyFont="1" applyFill="1"/>
    <xf numFmtId="9" fontId="0" fillId="3" borderId="0" xfId="21" applyFont="1" applyFill="1"/>
    <xf numFmtId="44" fontId="2" fillId="3" borderId="0" xfId="20" applyFont="1" applyFill="1"/>
    <xf numFmtId="9" fontId="2" fillId="3" borderId="0" xfId="21" applyFont="1" applyFill="1"/>
    <xf numFmtId="0" fontId="0" fillId="0" borderId="1" xfId="0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ill="1"/>
    <xf numFmtId="2" fontId="0" fillId="3" borderId="0" xfId="0" applyNumberFormat="1" applyFill="1"/>
    <xf numFmtId="2" fontId="3" fillId="0" borderId="0" xfId="0" applyNumberFormat="1" applyFont="1" applyFill="1"/>
    <xf numFmtId="2" fontId="0" fillId="0" borderId="0" xfId="21" applyNumberFormat="1" applyFont="1" applyFill="1"/>
    <xf numFmtId="2" fontId="0" fillId="3" borderId="0" xfId="21" applyNumberFormat="1" applyFont="1" applyFill="1"/>
    <xf numFmtId="2" fontId="2" fillId="0" borderId="0" xfId="0" applyNumberFormat="1" applyFont="1" applyFill="1"/>
    <xf numFmtId="2" fontId="2" fillId="3" borderId="0" xfId="0" applyNumberFormat="1" applyFont="1" applyFill="1"/>
    <xf numFmtId="0" fontId="0" fillId="0" borderId="0" xfId="0" applyFill="1" applyAlignment="1">
      <alignment horizontal="center"/>
    </xf>
    <xf numFmtId="2" fontId="2" fillId="3" borderId="0" xfId="21" applyNumberFormat="1" applyFont="1" applyFill="1"/>
    <xf numFmtId="2" fontId="2" fillId="0" borderId="0" xfId="21" applyNumberFormat="1" applyFont="1" applyFill="1"/>
    <xf numFmtId="2" fontId="2" fillId="0" borderId="1" xfId="0" applyNumberFormat="1" applyFont="1" applyFill="1" applyBorder="1"/>
    <xf numFmtId="2" fontId="2" fillId="3" borderId="1" xfId="0" applyNumberFormat="1" applyFont="1" applyFill="1" applyBorder="1"/>
    <xf numFmtId="2" fontId="2" fillId="0" borderId="2" xfId="0" applyNumberFormat="1" applyFont="1" applyFill="1" applyBorder="1"/>
    <xf numFmtId="0" fontId="5" fillId="0" borderId="3" xfId="0" applyFont="1" applyBorder="1"/>
    <xf numFmtId="2" fontId="2" fillId="0" borderId="4" xfId="0" applyNumberFormat="1" applyFont="1" applyFill="1" applyBorder="1"/>
    <xf numFmtId="0" fontId="2" fillId="0" borderId="0" xfId="0" applyFont="1"/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vertical="center"/>
    </xf>
    <xf numFmtId="0" fontId="2" fillId="4" borderId="8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8" fillId="5" borderId="7" xfId="0" applyFont="1" applyFill="1" applyBorder="1"/>
    <xf numFmtId="0" fontId="8" fillId="5" borderId="8" xfId="0" applyFont="1" applyFill="1" applyBorder="1"/>
    <xf numFmtId="0" fontId="8" fillId="5" borderId="9" xfId="0" applyFont="1" applyFill="1" applyBorder="1"/>
    <xf numFmtId="0" fontId="9" fillId="0" borderId="0" xfId="0" applyFont="1" applyFill="1"/>
    <xf numFmtId="0" fontId="9" fillId="3" borderId="0" xfId="0" applyFont="1" applyFill="1"/>
    <xf numFmtId="0" fontId="9" fillId="0" borderId="0" xfId="0" applyFont="1"/>
    <xf numFmtId="0" fontId="10" fillId="0" borderId="0" xfId="0" applyFont="1" applyFill="1"/>
    <xf numFmtId="0" fontId="2" fillId="0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tabSelected="1" workbookViewId="0" topLeftCell="A1">
      <selection activeCell="Q35" sqref="Q35"/>
    </sheetView>
  </sheetViews>
  <sheetFormatPr defaultColWidth="9.140625" defaultRowHeight="15"/>
  <cols>
    <col min="1" max="1" width="12.28125" style="0" bestFit="1" customWidth="1"/>
    <col min="2" max="2" width="13.28125" style="0" customWidth="1"/>
    <col min="4" max="4" width="11.8515625" style="0" customWidth="1"/>
    <col min="7" max="7" width="16.28125" style="0" bestFit="1" customWidth="1"/>
    <col min="8" max="8" width="11.140625" style="0" bestFit="1" customWidth="1"/>
    <col min="14" max="15" width="10.140625" style="0" customWidth="1"/>
    <col min="16" max="16" width="9.28125" style="0" customWidth="1"/>
    <col min="17" max="17" width="6.7109375" style="0" customWidth="1"/>
    <col min="18" max="18" width="15.8515625" style="0" customWidth="1"/>
  </cols>
  <sheetData>
    <row r="1" ht="15.75" thickBot="1"/>
    <row r="2" spans="1:6" ht="15.75" thickBot="1">
      <c r="A2" s="51" t="s">
        <v>49</v>
      </c>
      <c r="B2" s="52"/>
      <c r="C2" s="52"/>
      <c r="D2" s="52"/>
      <c r="E2" s="52"/>
      <c r="F2" s="53"/>
    </row>
    <row r="4" spans="1:4" ht="15">
      <c r="A4" s="62" t="s">
        <v>17</v>
      </c>
      <c r="B4" s="62"/>
      <c r="C4" s="15" t="s">
        <v>41</v>
      </c>
      <c r="D4" s="23" t="str">
        <f>A8</f>
        <v>TE</v>
      </c>
    </row>
    <row r="5" spans="2:17" ht="15">
      <c r="B5" t="s">
        <v>0</v>
      </c>
      <c r="D5" t="s">
        <v>1</v>
      </c>
      <c r="E5" s="2">
        <v>2</v>
      </c>
      <c r="F5" t="s">
        <v>2</v>
      </c>
      <c r="G5" s="2">
        <v>50</v>
      </c>
      <c r="H5" t="s">
        <v>42</v>
      </c>
      <c r="I5" s="2">
        <v>1</v>
      </c>
      <c r="N5" t="s">
        <v>47</v>
      </c>
      <c r="O5" t="s">
        <v>50</v>
      </c>
      <c r="P5" t="s">
        <v>51</v>
      </c>
      <c r="Q5" t="s">
        <v>45</v>
      </c>
    </row>
    <row r="6" spans="1:18" s="4" customFormat="1" ht="15">
      <c r="A6" s="4" t="s">
        <v>3</v>
      </c>
      <c r="B6" s="5">
        <v>37436</v>
      </c>
      <c r="C6" s="28">
        <f>MIN($B$6:$B$9)/B6*100*0.6</f>
        <v>34.48445346725077</v>
      </c>
      <c r="D6" s="4">
        <v>2</v>
      </c>
      <c r="E6" s="28">
        <f>D6/$E$5*100*0.4</f>
        <v>40</v>
      </c>
      <c r="F6" s="4">
        <v>35</v>
      </c>
      <c r="G6" s="28">
        <f>F6/$G$5*100*0.4</f>
        <v>28</v>
      </c>
      <c r="H6" s="25">
        <f>100/D6/F6</f>
        <v>1.4285714285714286</v>
      </c>
      <c r="I6" s="28">
        <f>H6/$I$5*100*0.2</f>
        <v>28.571428571428573</v>
      </c>
      <c r="N6" s="30">
        <f>(E6+G6+I6)</f>
        <v>96.57142857142857</v>
      </c>
      <c r="O6" s="30">
        <f>N6/MAX($N$6:$N$9)*100*0.4</f>
        <v>13.601609657947686</v>
      </c>
      <c r="P6" s="30">
        <f>O6+C6</f>
        <v>48.08606312519846</v>
      </c>
      <c r="Q6" s="58">
        <v>4</v>
      </c>
      <c r="R6" s="54" t="s">
        <v>39</v>
      </c>
    </row>
    <row r="7" spans="1:18" s="4" customFormat="1" ht="15">
      <c r="A7" s="4" t="s">
        <v>4</v>
      </c>
      <c r="B7" s="5">
        <v>21516</v>
      </c>
      <c r="C7" s="28">
        <f aca="true" t="shared" si="0" ref="C7:C9">MIN($B$6:$B$9)/B7*100*0.6</f>
        <v>60</v>
      </c>
      <c r="D7" s="4">
        <v>2</v>
      </c>
      <c r="E7" s="28">
        <f aca="true" t="shared" si="1" ref="E7:E9">D7/$E$5*100*0.4</f>
        <v>40</v>
      </c>
      <c r="F7" s="4">
        <v>50</v>
      </c>
      <c r="G7" s="28">
        <f aca="true" t="shared" si="2" ref="G7:G9">F7/$G$5*100*0.4</f>
        <v>40</v>
      </c>
      <c r="H7" s="25">
        <f>80/D7/F7</f>
        <v>0.8</v>
      </c>
      <c r="I7" s="28">
        <f aca="true" t="shared" si="3" ref="I7:I8">H7/$I$5*100*0.2</f>
        <v>16</v>
      </c>
      <c r="N7" s="30">
        <f aca="true" t="shared" si="4" ref="N7:N8">(E7+G7+I7)</f>
        <v>96</v>
      </c>
      <c r="O7" s="30">
        <f aca="true" t="shared" si="5" ref="O7:O8">N7/MAX($N$6:$N$9)*100*0.4</f>
        <v>13.52112676056338</v>
      </c>
      <c r="P7" s="30">
        <f aca="true" t="shared" si="6" ref="P7:P9">O7+C7</f>
        <v>73.52112676056338</v>
      </c>
      <c r="Q7" s="58">
        <v>3</v>
      </c>
      <c r="R7" s="54" t="s">
        <v>38</v>
      </c>
    </row>
    <row r="8" spans="1:18" s="4" customFormat="1" ht="15">
      <c r="A8" s="16" t="s">
        <v>5</v>
      </c>
      <c r="B8" s="18">
        <v>22200</v>
      </c>
      <c r="C8" s="29">
        <f t="shared" si="0"/>
        <v>58.15135135135135</v>
      </c>
      <c r="D8" s="16">
        <v>2</v>
      </c>
      <c r="E8" s="29">
        <f t="shared" si="1"/>
        <v>40</v>
      </c>
      <c r="F8" s="16">
        <v>30</v>
      </c>
      <c r="G8" s="29">
        <f t="shared" si="2"/>
        <v>24</v>
      </c>
      <c r="H8" s="26">
        <f>180/D8/F8</f>
        <v>3</v>
      </c>
      <c r="I8" s="29">
        <f t="shared" si="3"/>
        <v>60</v>
      </c>
      <c r="J8" s="16"/>
      <c r="K8" s="16"/>
      <c r="L8" s="16"/>
      <c r="M8" s="16"/>
      <c r="N8" s="31">
        <f t="shared" si="4"/>
        <v>124</v>
      </c>
      <c r="O8" s="31">
        <f t="shared" si="5"/>
        <v>17.464788732394364</v>
      </c>
      <c r="P8" s="31">
        <f t="shared" si="6"/>
        <v>75.61614008374572</v>
      </c>
      <c r="Q8" s="59">
        <v>1</v>
      </c>
      <c r="R8" s="55" t="s">
        <v>36</v>
      </c>
    </row>
    <row r="9" spans="1:18" s="4" customFormat="1" ht="15">
      <c r="A9" s="8" t="s">
        <v>12</v>
      </c>
      <c r="B9" s="11">
        <v>37128</v>
      </c>
      <c r="C9" s="28">
        <f t="shared" si="0"/>
        <v>34.77052359405301</v>
      </c>
      <c r="D9" s="8">
        <v>1</v>
      </c>
      <c r="E9" s="28">
        <f t="shared" si="1"/>
        <v>20</v>
      </c>
      <c r="F9" s="8">
        <v>30</v>
      </c>
      <c r="G9" s="28">
        <f t="shared" si="2"/>
        <v>24</v>
      </c>
      <c r="H9" s="25">
        <f>360/D9/F9</f>
        <v>12</v>
      </c>
      <c r="I9" s="28">
        <f>H9/$I$5*100*0.2</f>
        <v>240</v>
      </c>
      <c r="J9" s="8"/>
      <c r="K9" s="8"/>
      <c r="L9" s="8"/>
      <c r="M9" s="8"/>
      <c r="N9" s="30">
        <f>(E9+G9+I9)</f>
        <v>284</v>
      </c>
      <c r="O9" s="30">
        <f>N9/MAX($N$6:$N$9)*100*0.4</f>
        <v>40</v>
      </c>
      <c r="P9" s="30">
        <f t="shared" si="6"/>
        <v>74.770523594053</v>
      </c>
      <c r="Q9" s="58">
        <v>2</v>
      </c>
      <c r="R9" s="54" t="s">
        <v>37</v>
      </c>
    </row>
    <row r="10" ht="15">
      <c r="R10" s="56"/>
    </row>
    <row r="11" ht="15">
      <c r="R11" s="56"/>
    </row>
    <row r="12" spans="1:18" ht="15">
      <c r="A12" s="62" t="s">
        <v>16</v>
      </c>
      <c r="B12" s="62"/>
      <c r="C12" s="15" t="s">
        <v>41</v>
      </c>
      <c r="D12" s="23" t="str">
        <f>A16</f>
        <v>TE</v>
      </c>
      <c r="R12" s="56"/>
    </row>
    <row r="13" spans="2:18" ht="15">
      <c r="B13" t="s">
        <v>0</v>
      </c>
      <c r="D13" t="s">
        <v>6</v>
      </c>
      <c r="E13" s="2">
        <v>50</v>
      </c>
      <c r="F13" t="s">
        <v>11</v>
      </c>
      <c r="G13" s="2">
        <v>16</v>
      </c>
      <c r="H13" t="s">
        <v>8</v>
      </c>
      <c r="I13" s="2">
        <v>250</v>
      </c>
      <c r="J13" t="s">
        <v>9</v>
      </c>
      <c r="K13" s="2">
        <v>1</v>
      </c>
      <c r="L13" t="s">
        <v>10</v>
      </c>
      <c r="M13" s="2">
        <v>1</v>
      </c>
      <c r="N13" t="s">
        <v>52</v>
      </c>
      <c r="O13" t="s">
        <v>50</v>
      </c>
      <c r="P13" t="s">
        <v>51</v>
      </c>
      <c r="R13" s="56"/>
    </row>
    <row r="14" spans="1:18" s="4" customFormat="1" ht="15">
      <c r="A14" s="4" t="s">
        <v>3</v>
      </c>
      <c r="B14" s="5">
        <v>40068</v>
      </c>
      <c r="C14" s="28">
        <f>MIN($B$14:$B$16)/B14*100*0.6</f>
        <v>44.90566037735849</v>
      </c>
      <c r="D14" s="4">
        <v>30</v>
      </c>
      <c r="E14" s="28">
        <f>D14/$E$13*100*0.2</f>
        <v>12</v>
      </c>
      <c r="F14" s="4">
        <v>16</v>
      </c>
      <c r="G14" s="28">
        <f>F14/$G$13*100*0.2</f>
        <v>20</v>
      </c>
      <c r="H14" s="4">
        <v>250</v>
      </c>
      <c r="I14" s="28">
        <f>H14/$I$13*100*0.2</f>
        <v>20</v>
      </c>
      <c r="J14" s="4">
        <v>1</v>
      </c>
      <c r="K14" s="28">
        <f>J14/$K$13*100*0.2</f>
        <v>20</v>
      </c>
      <c r="L14" s="4">
        <v>0</v>
      </c>
      <c r="M14" s="6">
        <f>L14/$M$13*0.2</f>
        <v>0</v>
      </c>
      <c r="N14" s="30">
        <f>(E14+G14+I14+K14+M14)*0.4</f>
        <v>28.8</v>
      </c>
      <c r="O14" s="30">
        <f>N14/MAX($N$14:N16)*100*0.4</f>
        <v>40</v>
      </c>
      <c r="P14" s="30">
        <f>O14+C14</f>
        <v>84.90566037735849</v>
      </c>
      <c r="Q14" s="60">
        <v>2</v>
      </c>
      <c r="R14" s="54" t="s">
        <v>35</v>
      </c>
    </row>
    <row r="15" spans="1:18" s="4" customFormat="1" ht="15">
      <c r="A15" s="4" t="s">
        <v>4</v>
      </c>
      <c r="B15" s="5">
        <v>44400</v>
      </c>
      <c r="C15" s="28">
        <f aca="true" t="shared" si="7" ref="C15:C16">MIN($B$14:$B$16)/B15*100*0.6</f>
        <v>40.52432432432432</v>
      </c>
      <c r="D15" s="4">
        <v>30</v>
      </c>
      <c r="E15" s="28">
        <f aca="true" t="shared" si="8" ref="E15:E16">D15/$E$13*100*0.2</f>
        <v>12</v>
      </c>
      <c r="F15" s="4">
        <v>16</v>
      </c>
      <c r="G15" s="28">
        <f aca="true" t="shared" si="9" ref="G15:G16">F15/$G$13*100*0.2</f>
        <v>20</v>
      </c>
      <c r="H15" s="4">
        <v>250</v>
      </c>
      <c r="I15" s="28">
        <f aca="true" t="shared" si="10" ref="I15:I16">H15/$I$13*100*0.2</f>
        <v>20</v>
      </c>
      <c r="J15" s="4">
        <v>1</v>
      </c>
      <c r="K15" s="28">
        <f aca="true" t="shared" si="11" ref="K15:K16">J15/$K$13*100*0.2</f>
        <v>20</v>
      </c>
      <c r="L15" s="4">
        <v>0</v>
      </c>
      <c r="M15" s="6">
        <f>L15/$M$13*0.2</f>
        <v>0</v>
      </c>
      <c r="N15" s="30">
        <f>(E15+G15+I15+K15+M15)*0.4</f>
        <v>28.8</v>
      </c>
      <c r="O15" s="30">
        <f>N15/MAX($N$14:N17)*100*0.4</f>
        <v>40</v>
      </c>
      <c r="P15" s="30">
        <f aca="true" t="shared" si="12" ref="P15:P16">O15+C15</f>
        <v>80.52432432432431</v>
      </c>
      <c r="Q15" s="60">
        <v>3</v>
      </c>
      <c r="R15" s="54" t="s">
        <v>34</v>
      </c>
    </row>
    <row r="16" spans="1:18" s="4" customFormat="1" ht="15">
      <c r="A16" s="16" t="s">
        <v>5</v>
      </c>
      <c r="B16" s="18">
        <v>29988</v>
      </c>
      <c r="C16" s="29">
        <f t="shared" si="7"/>
        <v>60</v>
      </c>
      <c r="D16" s="16">
        <v>50</v>
      </c>
      <c r="E16" s="29">
        <f t="shared" si="8"/>
        <v>20</v>
      </c>
      <c r="F16" s="16">
        <v>14</v>
      </c>
      <c r="G16" s="29">
        <f t="shared" si="9"/>
        <v>17.5</v>
      </c>
      <c r="H16" s="16">
        <v>125</v>
      </c>
      <c r="I16" s="29">
        <f t="shared" si="10"/>
        <v>10</v>
      </c>
      <c r="J16" s="16">
        <v>0.4</v>
      </c>
      <c r="K16" s="29">
        <f t="shared" si="11"/>
        <v>8</v>
      </c>
      <c r="L16" s="16">
        <v>0</v>
      </c>
      <c r="M16" s="19">
        <f>L16/$M$13*0.2</f>
        <v>0</v>
      </c>
      <c r="N16" s="31">
        <f>(E16+G16+I16+K16+M16)*0.4</f>
        <v>22.200000000000003</v>
      </c>
      <c r="O16" s="31">
        <f>N16/MAX($N$14:N18)*100*0.4</f>
        <v>30.83333333333334</v>
      </c>
      <c r="P16" s="31">
        <f t="shared" si="12"/>
        <v>90.83333333333334</v>
      </c>
      <c r="Q16" s="61">
        <v>1</v>
      </c>
      <c r="R16" s="55" t="s">
        <v>33</v>
      </c>
    </row>
    <row r="17" spans="1:20" s="4" customFormat="1" ht="15">
      <c r="A17" s="8"/>
      <c r="B17" s="8"/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  <c r="N17" s="27"/>
      <c r="O17" s="8"/>
      <c r="P17" s="8"/>
      <c r="Q17" s="8"/>
      <c r="R17" s="57"/>
      <c r="S17" s="10"/>
      <c r="T17" s="8"/>
    </row>
    <row r="18" spans="1:20" s="4" customFormat="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57"/>
      <c r="S18" s="8"/>
      <c r="T18" s="8"/>
    </row>
    <row r="19" spans="1:18" ht="15">
      <c r="A19" s="62" t="s">
        <v>18</v>
      </c>
      <c r="B19" s="62"/>
      <c r="C19" s="14" t="s">
        <v>41</v>
      </c>
      <c r="D19" s="24" t="str">
        <f>A22</f>
        <v>Micronics</v>
      </c>
      <c r="R19" s="56"/>
    </row>
    <row r="20" spans="2:18" ht="15">
      <c r="B20" t="s">
        <v>0</v>
      </c>
      <c r="D20" t="s">
        <v>13</v>
      </c>
      <c r="E20" s="2">
        <v>1</v>
      </c>
      <c r="F20" t="s">
        <v>14</v>
      </c>
      <c r="G20" s="2">
        <v>8</v>
      </c>
      <c r="H20" t="s">
        <v>8</v>
      </c>
      <c r="I20" s="2">
        <v>100</v>
      </c>
      <c r="J20" t="s">
        <v>7</v>
      </c>
      <c r="K20" s="2">
        <f>800*600</f>
        <v>480000</v>
      </c>
      <c r="L20" t="s">
        <v>15</v>
      </c>
      <c r="M20" s="2">
        <v>1</v>
      </c>
      <c r="N20" t="s">
        <v>47</v>
      </c>
      <c r="O20" t="s">
        <v>50</v>
      </c>
      <c r="P20" t="s">
        <v>51</v>
      </c>
      <c r="R20" s="56"/>
    </row>
    <row r="21" spans="1:18" ht="15">
      <c r="A21" s="4" t="s">
        <v>12</v>
      </c>
      <c r="B21" s="5">
        <v>54852</v>
      </c>
      <c r="C21" s="28">
        <f>MIN($B$21:$B$22)/B21*100*0.6</f>
        <v>59.789980310654116</v>
      </c>
      <c r="D21" s="4">
        <v>5</v>
      </c>
      <c r="E21" s="28">
        <f>D21/$E$20*100*0.2</f>
        <v>100</v>
      </c>
      <c r="F21" s="4">
        <v>8</v>
      </c>
      <c r="G21" s="28">
        <f>F21/$G$20*100*0.2</f>
        <v>20</v>
      </c>
      <c r="H21" s="4">
        <v>100</v>
      </c>
      <c r="I21" s="28">
        <f>H21/$I$20*100*0.2</f>
        <v>20</v>
      </c>
      <c r="J21" s="4">
        <f>800*600</f>
        <v>480000</v>
      </c>
      <c r="K21" s="28">
        <f>J21/$K$20*100*0.2</f>
        <v>20</v>
      </c>
      <c r="L21" s="4">
        <v>1</v>
      </c>
      <c r="M21" s="28">
        <f>L21/$M$20*100*0.2</f>
        <v>20</v>
      </c>
      <c r="N21" s="30">
        <f>(E21+G21+I21+K21+M21)*0.4</f>
        <v>72</v>
      </c>
      <c r="O21" s="30">
        <f>N21/MAX($N$21:$N$22)*100*0.4</f>
        <v>40</v>
      </c>
      <c r="P21" s="30">
        <f>O21+C21</f>
        <v>99.78998031065412</v>
      </c>
      <c r="Q21" s="60">
        <v>2</v>
      </c>
      <c r="R21" s="56" t="s">
        <v>40</v>
      </c>
    </row>
    <row r="22" spans="1:18" ht="15">
      <c r="A22" s="16" t="s">
        <v>4</v>
      </c>
      <c r="B22" s="18">
        <v>54660</v>
      </c>
      <c r="C22" s="29">
        <f>MIN($B$21:$B$22)/B22*100*0.6</f>
        <v>60</v>
      </c>
      <c r="D22" s="16">
        <v>5</v>
      </c>
      <c r="E22" s="29">
        <f>D22/$E$20*100*0.2</f>
        <v>100</v>
      </c>
      <c r="F22" s="16">
        <v>8</v>
      </c>
      <c r="G22" s="29">
        <f>F22/$G$20*100*0.2</f>
        <v>20</v>
      </c>
      <c r="H22" s="16">
        <v>100</v>
      </c>
      <c r="I22" s="29">
        <f>H22/$I$20*100*0.2</f>
        <v>20</v>
      </c>
      <c r="J22" s="16">
        <f>800*600</f>
        <v>480000</v>
      </c>
      <c r="K22" s="29">
        <f>J22/$K$20*100*0.2</f>
        <v>20</v>
      </c>
      <c r="L22" s="16">
        <v>1</v>
      </c>
      <c r="M22" s="29">
        <f>L22/$M$20*100*0.2</f>
        <v>20</v>
      </c>
      <c r="N22" s="31">
        <f>(E22+G22+I22+K22+M22)*0.4</f>
        <v>72</v>
      </c>
      <c r="O22" s="31">
        <f>N22/MAX($N$21:$N$22)*100*0.4</f>
        <v>40</v>
      </c>
      <c r="P22" s="31">
        <f>O22+C22</f>
        <v>100</v>
      </c>
      <c r="Q22" s="61">
        <v>1</v>
      </c>
      <c r="R22" s="55" t="s">
        <v>40</v>
      </c>
    </row>
    <row r="23" spans="1:17" ht="15">
      <c r="A23" s="4"/>
      <c r="B23" s="5"/>
      <c r="C23" s="6"/>
      <c r="D23" s="4"/>
      <c r="E23" s="6"/>
      <c r="F23" s="4"/>
      <c r="G23" s="6"/>
      <c r="H23" s="4"/>
      <c r="I23" s="6"/>
      <c r="J23" s="4"/>
      <c r="K23" s="6"/>
      <c r="L23" s="4"/>
      <c r="M23" s="6"/>
      <c r="N23" s="7"/>
      <c r="O23" s="7"/>
      <c r="P23" s="7"/>
      <c r="Q23" s="7"/>
    </row>
  </sheetData>
  <mergeCells count="3">
    <mergeCell ref="A4:B4"/>
    <mergeCell ref="A12:B12"/>
    <mergeCell ref="A19:B19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workbookViewId="0" topLeftCell="A1">
      <selection activeCell="K3" sqref="K3"/>
    </sheetView>
  </sheetViews>
  <sheetFormatPr defaultColWidth="9.140625" defaultRowHeight="15"/>
  <cols>
    <col min="2" max="2" width="16.140625" style="0" customWidth="1"/>
    <col min="4" max="4" width="6.421875" style="0" customWidth="1"/>
    <col min="5" max="6" width="10.28125" style="0" customWidth="1"/>
    <col min="7" max="7" width="8.7109375" style="0" customWidth="1"/>
    <col min="8" max="8" width="11.140625" style="0" bestFit="1" customWidth="1"/>
    <col min="9" max="9" width="8.28125" style="0" customWidth="1"/>
    <col min="11" max="11" width="7.7109375" style="0" customWidth="1"/>
    <col min="12" max="12" width="0.9921875" style="0" customWidth="1"/>
    <col min="13" max="13" width="10.8515625" style="0" customWidth="1"/>
    <col min="14" max="14" width="21.00390625" style="0" bestFit="1" customWidth="1"/>
    <col min="15" max="15" width="17.28125" style="0" bestFit="1" customWidth="1"/>
    <col min="16" max="16" width="6.421875" style="0" customWidth="1"/>
    <col min="17" max="17" width="19.421875" style="0" customWidth="1"/>
  </cols>
  <sheetData>
    <row r="1" ht="15.75" thickBot="1"/>
    <row r="2" spans="1:7" ht="15.75" thickBot="1">
      <c r="A2" s="47" t="s">
        <v>48</v>
      </c>
      <c r="B2" s="48"/>
      <c r="C2" s="48"/>
      <c r="D2" s="48"/>
      <c r="E2" s="48"/>
      <c r="F2" s="49"/>
      <c r="G2" s="50"/>
    </row>
    <row r="4" spans="1:5" ht="15.75" thickBot="1">
      <c r="A4" s="62" t="s">
        <v>19</v>
      </c>
      <c r="B4" s="62"/>
      <c r="C4" s="15" t="s">
        <v>41</v>
      </c>
      <c r="D4" s="16" t="str">
        <f>A8</f>
        <v>micronics</v>
      </c>
      <c r="E4" s="15"/>
    </row>
    <row r="5" spans="2:16" ht="15.75" thickBot="1">
      <c r="B5" s="40" t="s">
        <v>46</v>
      </c>
      <c r="D5" s="40" t="s">
        <v>20</v>
      </c>
      <c r="E5" s="2">
        <v>2</v>
      </c>
      <c r="F5" s="40" t="s">
        <v>13</v>
      </c>
      <c r="G5" s="2">
        <v>2</v>
      </c>
      <c r="H5" s="40" t="s">
        <v>21</v>
      </c>
      <c r="I5" s="2">
        <v>70</v>
      </c>
      <c r="J5" s="40" t="s">
        <v>22</v>
      </c>
      <c r="K5" s="2">
        <v>80000</v>
      </c>
      <c r="L5" s="32"/>
      <c r="M5" t="s">
        <v>47</v>
      </c>
      <c r="N5" t="s">
        <v>43</v>
      </c>
      <c r="O5" s="38" t="s">
        <v>44</v>
      </c>
      <c r="P5" t="s">
        <v>45</v>
      </c>
    </row>
    <row r="6" spans="1:17" ht="15.75" thickBot="1">
      <c r="A6" s="13" t="s">
        <v>5</v>
      </c>
      <c r="B6" s="5">
        <f>257400/11</f>
        <v>23400</v>
      </c>
      <c r="C6" s="28">
        <f>MIN($B$6:$B$9)/B6*100*0.6</f>
        <v>55.353846153846156</v>
      </c>
      <c r="D6" s="4">
        <v>2</v>
      </c>
      <c r="E6" s="28">
        <f>D6/$E$5*100*0.25</f>
        <v>25</v>
      </c>
      <c r="F6" s="4">
        <v>1</v>
      </c>
      <c r="G6" s="28">
        <f>F6/$G$5*100*0.25</f>
        <v>12.5</v>
      </c>
      <c r="H6" s="4">
        <v>60</v>
      </c>
      <c r="I6" s="28">
        <f>H6/$I$5*100*0.25</f>
        <v>21.428571428571427</v>
      </c>
      <c r="J6" s="4">
        <v>25000</v>
      </c>
      <c r="K6" s="28">
        <f>J6/$K$5*100*0.25</f>
        <v>7.8125</v>
      </c>
      <c r="L6" s="6"/>
      <c r="M6" s="30">
        <f>(E6+G6+I6+K6+L6)</f>
        <v>66.74107142857143</v>
      </c>
      <c r="N6" s="30">
        <f>M6/MAX($M$6:$M$9)*100*0.4</f>
        <v>26.696428571428573</v>
      </c>
      <c r="O6" s="39">
        <f>N6+C6</f>
        <v>82.05027472527473</v>
      </c>
      <c r="P6" s="41">
        <v>4</v>
      </c>
      <c r="Q6" t="s">
        <v>32</v>
      </c>
    </row>
    <row r="7" spans="1:17" ht="15.75" thickBot="1">
      <c r="A7" s="13" t="s">
        <v>12</v>
      </c>
      <c r="B7" s="5">
        <f>262020/11</f>
        <v>23820</v>
      </c>
      <c r="C7" s="28">
        <f aca="true" t="shared" si="0" ref="C7:C9">MIN($B$6:$B$9)/B7*100*0.6</f>
        <v>54.37783375314861</v>
      </c>
      <c r="D7" s="4">
        <v>2</v>
      </c>
      <c r="E7" s="28">
        <f aca="true" t="shared" si="1" ref="E7:E9">D7/$E$5*100*0.25</f>
        <v>25</v>
      </c>
      <c r="F7" s="4">
        <v>2</v>
      </c>
      <c r="G7" s="28">
        <f aca="true" t="shared" si="2" ref="G7:G9">F7/$G$5*100*0.25</f>
        <v>25</v>
      </c>
      <c r="H7" s="4">
        <v>70</v>
      </c>
      <c r="I7" s="28">
        <f aca="true" t="shared" si="3" ref="I7:I9">H7/$I$5*100*0.25</f>
        <v>25</v>
      </c>
      <c r="J7" s="4">
        <v>80000</v>
      </c>
      <c r="K7" s="28">
        <f aca="true" t="shared" si="4" ref="K7:K9">J7/$K$5*100*0.25</f>
        <v>25</v>
      </c>
      <c r="L7" s="6"/>
      <c r="M7" s="30">
        <f>(E7+G7+I7+K7+L7)</f>
        <v>100</v>
      </c>
      <c r="N7" s="30">
        <f aca="true" t="shared" si="5" ref="N7:N9">M7/MAX($M$6:$M$9)*100*0.4</f>
        <v>40</v>
      </c>
      <c r="O7" s="35">
        <f>N7+C7</f>
        <v>94.37783375314861</v>
      </c>
      <c r="P7" s="42">
        <v>2</v>
      </c>
      <c r="Q7" t="s">
        <v>30</v>
      </c>
    </row>
    <row r="8" spans="1:17" ht="15.75" thickBot="1">
      <c r="A8" s="17" t="s">
        <v>26</v>
      </c>
      <c r="B8" s="18">
        <f>237468/11</f>
        <v>21588</v>
      </c>
      <c r="C8" s="29">
        <f t="shared" si="0"/>
        <v>60</v>
      </c>
      <c r="D8" s="16">
        <v>2</v>
      </c>
      <c r="E8" s="29">
        <f t="shared" si="1"/>
        <v>25</v>
      </c>
      <c r="F8" s="16">
        <v>2</v>
      </c>
      <c r="G8" s="29">
        <f t="shared" si="2"/>
        <v>25</v>
      </c>
      <c r="H8" s="16">
        <v>70</v>
      </c>
      <c r="I8" s="29">
        <f t="shared" si="3"/>
        <v>25</v>
      </c>
      <c r="J8" s="16">
        <v>50000</v>
      </c>
      <c r="K8" s="29">
        <f t="shared" si="4"/>
        <v>15.625</v>
      </c>
      <c r="L8" s="19"/>
      <c r="M8" s="31">
        <f>(E8+G8+I8+K8+L8)</f>
        <v>90.625</v>
      </c>
      <c r="N8" s="31">
        <f t="shared" si="5"/>
        <v>36.25</v>
      </c>
      <c r="O8" s="36">
        <f>N8+C8</f>
        <v>96.25</v>
      </c>
      <c r="P8" s="43">
        <v>1</v>
      </c>
      <c r="Q8" s="16" t="s">
        <v>31</v>
      </c>
    </row>
    <row r="9" spans="1:17" s="1" customFormat="1" ht="15.75" thickBot="1">
      <c r="A9" s="12" t="s">
        <v>3</v>
      </c>
      <c r="B9" s="11">
        <f>286626/11</f>
        <v>26056.909090909092</v>
      </c>
      <c r="C9" s="28">
        <f t="shared" si="0"/>
        <v>49.70965648615269</v>
      </c>
      <c r="D9" s="8">
        <v>2</v>
      </c>
      <c r="E9" s="28">
        <f t="shared" si="1"/>
        <v>25</v>
      </c>
      <c r="F9" s="8">
        <v>2</v>
      </c>
      <c r="G9" s="28">
        <f t="shared" si="2"/>
        <v>25</v>
      </c>
      <c r="H9" s="8">
        <v>70</v>
      </c>
      <c r="I9" s="28">
        <f t="shared" si="3"/>
        <v>25</v>
      </c>
      <c r="J9" s="8">
        <v>50000</v>
      </c>
      <c r="K9" s="28">
        <f t="shared" si="4"/>
        <v>15.625</v>
      </c>
      <c r="L9" s="6"/>
      <c r="M9" s="30">
        <f>(E9+G9+I9+K9+L9)</f>
        <v>90.625</v>
      </c>
      <c r="N9" s="30">
        <f t="shared" si="5"/>
        <v>36.25</v>
      </c>
      <c r="O9" s="37">
        <f>N9+C9</f>
        <v>85.95965648615268</v>
      </c>
      <c r="P9" s="42">
        <v>3</v>
      </c>
      <c r="Q9" s="1" t="s">
        <v>29</v>
      </c>
    </row>
    <row r="10" spans="15:16" ht="15">
      <c r="O10" s="22"/>
      <c r="P10" s="44"/>
    </row>
    <row r="11" spans="1:16" ht="15.75" thickBot="1">
      <c r="A11" s="62" t="s">
        <v>23</v>
      </c>
      <c r="B11" s="62"/>
      <c r="C11" s="15" t="s">
        <v>41</v>
      </c>
      <c r="D11" s="16" t="str">
        <f>A14</f>
        <v>Htest</v>
      </c>
      <c r="O11" s="22"/>
      <c r="P11" s="44"/>
    </row>
    <row r="12" spans="2:16" ht="15.75" thickBot="1">
      <c r="B12" s="40" t="s">
        <v>0</v>
      </c>
      <c r="D12" s="40" t="s">
        <v>24</v>
      </c>
      <c r="E12" s="2">
        <v>5</v>
      </c>
      <c r="F12" s="40" t="s">
        <v>25</v>
      </c>
      <c r="G12" s="2">
        <v>0.03</v>
      </c>
      <c r="I12" s="32"/>
      <c r="J12" s="4"/>
      <c r="K12" s="32"/>
      <c r="L12" s="32"/>
      <c r="M12" t="s">
        <v>47</v>
      </c>
      <c r="N12" t="s">
        <v>43</v>
      </c>
      <c r="O12" s="38" t="s">
        <v>44</v>
      </c>
      <c r="P12" s="44"/>
    </row>
    <row r="13" spans="1:16" ht="15.75" thickBot="1">
      <c r="A13" s="4"/>
      <c r="B13" s="5"/>
      <c r="C13" s="6"/>
      <c r="D13" s="4"/>
      <c r="E13" s="6"/>
      <c r="F13" s="4"/>
      <c r="G13" s="6"/>
      <c r="H13" s="4"/>
      <c r="I13" s="6"/>
      <c r="J13" s="4"/>
      <c r="K13" s="6"/>
      <c r="L13" s="6"/>
      <c r="M13" s="30"/>
      <c r="N13" s="30"/>
      <c r="O13" s="39"/>
      <c r="P13" s="45"/>
    </row>
    <row r="14" spans="1:17" ht="15.75" thickBot="1">
      <c r="A14" s="17" t="s">
        <v>3</v>
      </c>
      <c r="B14" s="20">
        <v>9665.6</v>
      </c>
      <c r="C14" s="33">
        <f>MIN($B$14:$B$15)/B14*100*0.6</f>
        <v>60</v>
      </c>
      <c r="D14" s="17">
        <v>5</v>
      </c>
      <c r="E14" s="33">
        <f>D14/$E$12*100*0.5</f>
        <v>50</v>
      </c>
      <c r="F14" s="17">
        <v>0.03</v>
      </c>
      <c r="G14" s="33">
        <f>$G$12/F14*100*0.5</f>
        <v>50</v>
      </c>
      <c r="H14" s="17"/>
      <c r="I14" s="21"/>
      <c r="J14" s="17"/>
      <c r="K14" s="21"/>
      <c r="L14" s="21"/>
      <c r="M14" s="31">
        <f>(E14+G14+I14+K14+L14)</f>
        <v>100</v>
      </c>
      <c r="N14" s="31">
        <f aca="true" t="shared" si="6" ref="N14:N15">M14/MAX($M$6:$M$9)*100*0.4</f>
        <v>40</v>
      </c>
      <c r="O14" s="36">
        <f>N14+C14</f>
        <v>100</v>
      </c>
      <c r="P14" s="42">
        <v>1</v>
      </c>
      <c r="Q14" s="16" t="s">
        <v>28</v>
      </c>
    </row>
    <row r="15" spans="1:17" ht="15.75" thickBot="1">
      <c r="A15" s="4" t="s">
        <v>12</v>
      </c>
      <c r="B15" s="3">
        <f>109560/11</f>
        <v>9960</v>
      </c>
      <c r="C15" s="34">
        <f>MIN($B$14:$B$15)/B15*100*0.6</f>
        <v>58.22650602409639</v>
      </c>
      <c r="D15" s="4">
        <v>5</v>
      </c>
      <c r="E15" s="34">
        <f>D15/$E$12*100*0.5</f>
        <v>50</v>
      </c>
      <c r="F15" s="4">
        <v>0.03</v>
      </c>
      <c r="G15" s="34">
        <f>$G$12/F15*100*0.5</f>
        <v>50</v>
      </c>
      <c r="H15" s="4"/>
      <c r="I15" s="6"/>
      <c r="J15" s="4"/>
      <c r="K15" s="6"/>
      <c r="L15" s="6"/>
      <c r="M15" s="30">
        <f>(E15+G15+I15+K15+L15)</f>
        <v>100</v>
      </c>
      <c r="N15" s="30">
        <f t="shared" si="6"/>
        <v>40</v>
      </c>
      <c r="O15" s="37">
        <f>N15+C15</f>
        <v>98.22650602409638</v>
      </c>
      <c r="P15" s="46">
        <v>2</v>
      </c>
      <c r="Q15" t="s">
        <v>27</v>
      </c>
    </row>
  </sheetData>
  <mergeCells count="2">
    <mergeCell ref="A4:B4"/>
    <mergeCell ref="A11:B11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zdenek.pliva</dc:creator>
  <cp:keywords/>
  <dc:description/>
  <cp:lastModifiedBy>user</cp:lastModifiedBy>
  <cp:lastPrinted>2012-11-14T08:14:34Z</cp:lastPrinted>
  <dcterms:created xsi:type="dcterms:W3CDTF">2012-10-31T12:50:55Z</dcterms:created>
  <dcterms:modified xsi:type="dcterms:W3CDTF">2012-11-14T08:14:40Z</dcterms:modified>
  <cp:category/>
  <cp:version/>
  <cp:contentType/>
  <cp:contentStatus/>
</cp:coreProperties>
</file>